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elcome" sheetId="1" state="visible" r:id="rId3"/>
    <sheet name="Health Check" sheetId="2" state="visible" r:id="rId4"/>
    <sheet name="90-Day Forecast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<sst xmlns="http://schemas.openxmlformats.org/spreadsheetml/2006/main" count="105" uniqueCount="101">
  <si>
    <t xml:space="preserve">Trinity Accounting Practice</t>
  </si>
  <si>
    <t xml:space="preserve">Cashflow Health Check &amp; 90-Day Forecast</t>
  </si>
  <si>
    <t xml:space="preserve">A simple two-tab tool that benchmarks your business and projects 13 weeks of cash.</t>
  </si>
  <si>
    <t xml:space="preserve">How to use this tool</t>
  </si>
  <si>
    <t xml:space="preserve">1.  Open the 'Health Check' tab. Enter your numbers in the YELLOW cells only.</t>
  </si>
  <si>
    <t xml:space="preserve">2.  Scroll down — your ratios, traffic-light score, and recommendations calculate automatically.</t>
  </si>
  <si>
    <t xml:space="preserve">3.  Open the '90-Day Forecast' tab. Adjust any forecast inputs (or leave defaults) and review the weekly cash chart.</t>
  </si>
  <si>
    <t xml:space="preserve">4.  Save your file. Compare your scores month over month to see whether you're improving.</t>
  </si>
  <si>
    <t xml:space="preserve">Colour key</t>
  </si>
  <si>
    <t xml:space="preserve">   YELLOW cells — these are inputs. Type your numbers here.</t>
  </si>
  <si>
    <t xml:space="preserve">   WHITE cells — these are formulas. Do not type over them.</t>
  </si>
  <si>
    <t xml:space="preserve">   GREEN traffic light — healthy.</t>
  </si>
  <si>
    <t xml:space="preserve">   AMBER traffic light — watch.</t>
  </si>
  <si>
    <t xml:space="preserve">   RED traffic light — action needed.</t>
  </si>
  <si>
    <t xml:space="preserve">About Trinity</t>
  </si>
  <si>
    <t xml:space="preserve">Established 2003 · Principal: Ramy Hanna FIPA, FTIA, FNTAA · Registered Tax Agent · Certified Xero Advisor</t>
  </si>
  <si>
    <t xml:space="preserve">159 Stoney Creek Road, Beverly Hills NSW 2209  ·  www.trinitygroup.com.au</t>
  </si>
  <si>
    <t xml:space="preserve">Want this benchmark turned into a 12-month plan integrated with Xero? Talk to a Trinity CFO.</t>
  </si>
  <si>
    <t xml:space="preserve">Disclaimer: Information provided by this tool is intended as a general overview only and does not replace professional advice tailored to your personal circumstances. Liability limited by a scheme approved under Professional Standards Legislation.</t>
  </si>
  <si>
    <t xml:space="preserve">Health Check — Your Numbers vs. Benchmark</t>
  </si>
  <si>
    <t xml:space="preserve">1.  Snapshot — Today's Position</t>
  </si>
  <si>
    <t xml:space="preserve">Cash on hand (bank balance)</t>
  </si>
  <si>
    <t xml:space="preserve">Accounts receivable (owed to you)</t>
  </si>
  <si>
    <t xml:space="preserve">Accounts payable (owed to suppliers)</t>
  </si>
  <si>
    <t xml:space="preserve">Inventory / stock (0 if services)</t>
  </si>
  <si>
    <t xml:space="preserve">Other current assets</t>
  </si>
  <si>
    <t xml:space="preserve">Other current liabilities</t>
  </si>
  <si>
    <t xml:space="preserve">2.  Trading — Typical Month</t>
  </si>
  <si>
    <t xml:space="preserve">Average monthly revenue</t>
  </si>
  <si>
    <t xml:space="preserve">Cost of goods sold / direct cost (per month)</t>
  </si>
  <si>
    <t xml:space="preserve">Total monthly operating expenses</t>
  </si>
  <si>
    <t xml:space="preserve">3.  Your Ratios vs. Benchmark</t>
  </si>
  <si>
    <t xml:space="preserve">Metric</t>
  </si>
  <si>
    <t xml:space="preserve">Your Number</t>
  </si>
  <si>
    <t xml:space="preserve">Benchmark</t>
  </si>
  <si>
    <t xml:space="preserve">Score</t>
  </si>
  <si>
    <t xml:space="preserve">Status</t>
  </si>
  <si>
    <t xml:space="preserve">Cash runway (months of cover)</t>
  </si>
  <si>
    <t xml:space="preserve">3 - 6+ months</t>
  </si>
  <si>
    <t xml:space="preserve">Days Sales Outstanding (DSO)</t>
  </si>
  <si>
    <t xml:space="preserve">≤ 45 days</t>
  </si>
  <si>
    <t xml:space="preserve">Days Payable Outstanding (DPO)</t>
  </si>
  <si>
    <t xml:space="preserve">30 - 45 days</t>
  </si>
  <si>
    <t xml:space="preserve">Current ratio (CA / CL)</t>
  </si>
  <si>
    <t xml:space="preserve">≥ 1.5</t>
  </si>
  <si>
    <t xml:space="preserve">Quick ratio (acid test)</t>
  </si>
  <si>
    <t xml:space="preserve">≥ 1.0</t>
  </si>
  <si>
    <t xml:space="preserve">Gross margin %</t>
  </si>
  <si>
    <t xml:space="preserve">30%+</t>
  </si>
  <si>
    <t xml:space="preserve">Cash conversion cycle (CCC)</t>
  </si>
  <si>
    <t xml:space="preserve">≤ 30 days</t>
  </si>
  <si>
    <t xml:space="preserve">4.  Overall Health Score</t>
  </si>
  <si>
    <t xml:space="preserve">Weighted overall score (out of 100)</t>
  </si>
  <si>
    <t xml:space="preserve">5.  Recommendations</t>
  </si>
  <si>
    <t xml:space="preserve">Want this turned into a 12-month plan?  Talk to a Trinity CFO  →  www.trinitygroup.com.au</t>
  </si>
  <si>
    <t xml:space="preserve">Trinity Accounting Practice · 159 Stoney Creek Road, Beverly Hills NSW 2209 · Liability limited by a scheme approved under Professional Standards Legislation.</t>
  </si>
  <si>
    <t xml:space="preserve">90-Day Cashflow Forecast — Next 13 Weeks</t>
  </si>
  <si>
    <t xml:space="preserve">Forecast Inputs</t>
  </si>
  <si>
    <t xml:space="preserve">Opening cash position</t>
  </si>
  <si>
    <t xml:space="preserve">Pulled from Health Check (you can override)</t>
  </si>
  <si>
    <t xml:space="preserve">Expected monthly revenue</t>
  </si>
  <si>
    <t xml:space="preserve">Monthly direct costs (COGS)</t>
  </si>
  <si>
    <t xml:space="preserve">Monthly operating expenses</t>
  </si>
  <si>
    <t xml:space="preserve">Average days to collect</t>
  </si>
  <si>
    <t xml:space="preserve">Auto-calc DSO (you can override)</t>
  </si>
  <si>
    <t xml:space="preserve">One-off receipt expected (next 90d)</t>
  </si>
  <si>
    <t xml:space="preserve">e.g. tax refund, asset sale</t>
  </si>
  <si>
    <t xml:space="preserve">One-off payment expected (next 90d)</t>
  </si>
  <si>
    <t xml:space="preserve">e.g. BAS, equipment, lump-sum tax</t>
  </si>
  <si>
    <t xml:space="preserve">Derived weekly figures</t>
  </si>
  <si>
    <t xml:space="preserve">Weekly revenue (rev × 12 ÷ 52)</t>
  </si>
  <si>
    <t xml:space="preserve">Weekly direct costs</t>
  </si>
  <si>
    <t xml:space="preserve">Weekly operating expenses</t>
  </si>
  <si>
    <t xml:space="preserve">Collection lag (weeks)</t>
  </si>
  <si>
    <t xml:space="preserve">13-Week Cash Forecast</t>
  </si>
  <si>
    <t xml:space="preserve">Week</t>
  </si>
  <si>
    <t xml:space="preserve">Opening Cash</t>
  </si>
  <si>
    <t xml:space="preserve">Receipts</t>
  </si>
  <si>
    <t xml:space="preserve">Payments</t>
  </si>
  <si>
    <t xml:space="preserve">Net Movement</t>
  </si>
  <si>
    <t xml:space="preserve">Closing Cash</t>
  </si>
  <si>
    <t xml:space="preserve">Week 1</t>
  </si>
  <si>
    <t xml:space="preserve">Week 2</t>
  </si>
  <si>
    <t xml:space="preserve">Week 3</t>
  </si>
  <si>
    <t xml:space="preserve">Week 4</t>
  </si>
  <si>
    <t xml:space="preserve">Week 5</t>
  </si>
  <si>
    <t xml:space="preserve">Week 6</t>
  </si>
  <si>
    <t xml:space="preserve">Week 7</t>
  </si>
  <si>
    <t xml:space="preserve">Week 8</t>
  </si>
  <si>
    <t xml:space="preserve">Week 9</t>
  </si>
  <si>
    <t xml:space="preserve">Week 10</t>
  </si>
  <si>
    <t xml:space="preserve">Week 11</t>
  </si>
  <si>
    <t xml:space="preserve">Week 12</t>
  </si>
  <si>
    <t xml:space="preserve">Week 13</t>
  </si>
  <si>
    <t xml:space="preserve">Forecast Summary</t>
  </si>
  <si>
    <t xml:space="preserve">Lowest projected balance</t>
  </si>
  <si>
    <t xml:space="preserve">Closing balance week 13</t>
  </si>
  <si>
    <t xml:space="preserve">Total receipts (13 weeks)</t>
  </si>
  <si>
    <t xml:space="preserve">Total payments (13 weeks)</t>
  </si>
  <si>
    <t xml:space="preserve">Net movement (13 weeks)</t>
  </si>
  <si>
    <t xml:space="preserve">Forecast verdict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</si>
</sst>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\$* #,##0_-;[RED]_-\$* \(#,##0\)_-;_-\$* \-_-;_-@_-"/>
    <numFmt numFmtId="166" formatCode="0.0&quot; months&quot;;[RED]\(0.0&quot;) months&quot;;\-"/>
    <numFmt numFmtId="167" formatCode="#,##0&quot; days&quot;;[RED]\(#,##0&quot;) days&quot;;\-"/>
    <numFmt numFmtId="168" formatCode="0.00;[RED]\(0.00\);\-"/>
    <numFmt numFmtId="169" formatCode="0.0%;[RED]\(0.0%\);\-"/>
    <numFmt numFmtId="170" formatCode="#,##0&quot; days&quot;"/>
    <numFmt numFmtId="171" formatCode="0&quot; wks&quot;"/>
  </numFmts>
  <fonts count="2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b val="true"/>
      <sz val="18"/>
      <color rgb="FF1F4E79"/>
      <name val="Calibri"/>
      <family val="0"/>
      <charset val="1"/>
    </font>
    <font>
      <i val="true"/>
      <sz val="11"/>
      <color rgb="FF595959"/>
      <name val="Calibri"/>
      <family val="0"/>
      <charset val="1"/>
    </font>
    <font>
      <b val="true"/>
      <sz val="13"/>
      <color rgb="FF1F4E79"/>
      <name val="Calibri"/>
      <family val="0"/>
      <charset val="1"/>
    </font>
    <font>
      <sz val="11"/>
      <name val="Calibri"/>
      <family val="0"/>
      <charset val="1"/>
    </font>
    <font>
      <sz val="11"/>
      <color rgb="FF595959"/>
      <name val="Calibri"/>
      <family val="0"/>
      <charset val="1"/>
    </font>
    <font>
      <i val="true"/>
      <sz val="9"/>
      <color rgb="FF595959"/>
      <name val="Calibri"/>
      <family val="0"/>
      <charset val="1"/>
    </font>
    <font>
      <b val="true"/>
      <sz val="18"/>
      <color rgb="FFFFFFFF"/>
      <name val="Calibri"/>
      <family val="0"/>
      <charset val="1"/>
    </font>
    <font>
      <b val="true"/>
      <sz val="12"/>
      <color rgb="FF1F4E79"/>
      <name val="Calibri"/>
      <family val="0"/>
      <charset val="1"/>
    </font>
    <font>
      <b val="true"/>
      <sz val="11"/>
      <color rgb="FF0000F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2"/>
      <name val="Calibri"/>
      <family val="0"/>
      <charset val="1"/>
    </font>
    <font>
      <b val="true"/>
      <sz val="24"/>
      <color rgb="FF1F4E79"/>
      <name val="Calibri"/>
      <family val="0"/>
      <charset val="1"/>
    </font>
    <font>
      <b val="true"/>
      <sz val="14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1"/>
      <color rgb="FF1F4E79"/>
      <name val="Calibri"/>
      <family val="0"/>
      <charset val="1"/>
    </font>
    <font>
      <sz val="10"/>
      <color rgb="FF595959"/>
      <name val="Calibri"/>
      <family val="0"/>
      <charset val="1"/>
    </font>
    <font>
      <sz val="10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D9E2F3"/>
        <bgColor rgb="FFD9D9D9"/>
      </patternFill>
    </fill>
    <fill>
      <patternFill patternType="solid">
        <fgColor rgb="FFFFF2CC"/>
        <bgColor rgb="FFFFEB9C"/>
      </patternFill>
    </fill>
    <fill>
      <patternFill patternType="solid">
        <fgColor rgb="FFFFFFFF"/>
        <bgColor rgb="FFF8FAFC"/>
      </patternFill>
    </fill>
    <fill>
      <patternFill patternType="solid">
        <fgColor rgb="FFC6EFCE"/>
        <bgColor rgb="FFD9E2F3"/>
      </patternFill>
    </fill>
    <fill>
      <patternFill patternType="solid">
        <fgColor rgb="FFFFEB9C"/>
        <bgColor rgb="FFFFF2CC"/>
      </patternFill>
    </fill>
    <fill>
      <patternFill patternType="solid">
        <fgColor rgb="FFFFC7CE"/>
        <bgColor rgb="FFD9D9D9"/>
      </patternFill>
    </fill>
    <fill>
      <patternFill patternType="solid">
        <fgColor rgb="FFF8FAFC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 style="thin">
        <color rgb="FF1F4E79"/>
      </left>
      <right style="thin">
        <color rgb="FF1F4E79"/>
      </right>
      <top style="thin">
        <color rgb="FF1F4E79"/>
      </top>
      <bottom style="thin">
        <color rgb="FF1F4E79"/>
      </bottom>
      <diagonal/>
    </border>
    <border diagonalUp="false" diagonalDown="false"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3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7" fillId="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13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9">
    <dxf>
      <font>
        <name val="Calibri"/>
        <charset val="1"/>
        <family val="0"/>
        <b val="1"/>
        <color rgb="FF006100"/>
      </font>
      <fill>
        <patternFill>
          <bgColor rgb="FFC6EFCE"/>
        </patternFill>
      </fill>
    </dxf>
    <dxf>
      <font>
        <name val="Calibri"/>
        <charset val="1"/>
        <family val="0"/>
        <b val="1"/>
        <color rgb="FF9C5700"/>
      </font>
      <fill>
        <patternFill>
          <bgColor rgb="FFFFEB9C"/>
        </patternFill>
      </fill>
    </dxf>
    <dxf>
      <font>
        <name val="Calibri"/>
        <charset val="1"/>
        <family val="0"/>
        <b val="1"/>
        <color rgb="FF9C0006"/>
      </font>
      <fill>
        <patternFill>
          <bgColor rgb="FFFFC7CE"/>
        </patternFill>
      </fill>
    </dxf>
    <dxf>
      <font>
        <name val="Calibri"/>
        <charset val="1"/>
        <family val="0"/>
        <b val="1"/>
        <color rgb="FF006100"/>
        <sz val="14"/>
      </font>
      <fill>
        <patternFill>
          <bgColor rgb="FFC6EFCE"/>
        </patternFill>
      </fill>
    </dxf>
    <dxf>
      <font>
        <name val="Calibri"/>
        <charset val="1"/>
        <family val="0"/>
        <b val="1"/>
        <color rgb="FF9C5700"/>
        <sz val="14"/>
      </font>
      <fill>
        <patternFill>
          <bgColor rgb="FFFFEB9C"/>
        </patternFill>
      </fill>
    </dxf>
    <dxf>
      <font>
        <name val="Calibri"/>
        <charset val="1"/>
        <family val="0"/>
        <b val="1"/>
        <color rgb="FF9C0006"/>
        <sz val="14"/>
      </font>
      <fill>
        <patternFill>
          <bgColor rgb="FFFFC7CE"/>
        </patternFill>
      </fill>
    </dxf>
    <dxf>
      <font>
        <name val="Calibri"/>
        <charset val="1"/>
        <family val="0"/>
        <b val="1"/>
        <color rgb="FF006100"/>
        <sz val="12"/>
      </font>
      <fill>
        <patternFill>
          <bgColor rgb="FFC6EFCE"/>
        </patternFill>
      </fill>
    </dxf>
    <dxf>
      <font>
        <name val="Calibri"/>
        <charset val="1"/>
        <family val="0"/>
        <b val="1"/>
        <color rgb="FF9C5700"/>
        <sz val="12"/>
      </font>
      <fill>
        <patternFill>
          <bgColor rgb="FFFFEB9C"/>
        </patternFill>
      </fill>
    </dxf>
    <dxf>
      <font>
        <name val="Calibri"/>
        <charset val="1"/>
        <family val="0"/>
        <b val="1"/>
        <color rgb="FF9C0006"/>
        <sz val="12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BFBFBF"/>
      <rgbColor rgb="FF878787"/>
      <rgbColor rgb="FF9999FF"/>
      <rgbColor rgb="FF993366"/>
      <rgbColor rgb="FFFFF2CC"/>
      <rgbColor rgb="FFD9E2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8FAFC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C57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1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Projected Cash Balance — 13 Weeks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'90-Day Forecast'!G23</c:f>
              <c:strCache>
                <c:ptCount val="1"/>
                <c:pt idx="0">
                  <c:v>Closing Cash</c:v>
                </c:pt>
              </c:strCache>
            </c:strRef>
          </c:tx>
          <c:spPr>
            <a:solidFill>
              <a:srgbClr val="1F4E79"/>
            </a:solidFill>
            <a:ln w="28080">
              <a:solidFill>
                <a:srgbClr val="1F4E79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08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'90-Day Forecast'!$B$24:$B$36</c:f>
              <c:strCache>
                <c:ptCount val="13"/>
                <c:pt idx="0">
                  <c:v>Week 1</c:v>
                </c:pt>
                <c:pt idx="1">
                  <c:v>Week 2</c:v>
                </c:pt>
                <c:pt idx="2">
                  <c:v>Week 3</c:v>
                </c:pt>
                <c:pt idx="3">
                  <c:v>Week 4</c:v>
                </c:pt>
                <c:pt idx="4">
                  <c:v>Week 5</c:v>
                </c:pt>
                <c:pt idx="5">
                  <c:v>Week 6</c:v>
                </c:pt>
                <c:pt idx="6">
                  <c:v>Week 7</c:v>
                </c:pt>
                <c:pt idx="7">
                  <c:v>Week 8</c:v>
                </c:pt>
                <c:pt idx="8">
                  <c:v>Week 9</c:v>
                </c:pt>
                <c:pt idx="9">
                  <c:v>Week 10</c:v>
                </c:pt>
                <c:pt idx="10">
                  <c:v>Week 11</c:v>
                </c:pt>
                <c:pt idx="11">
                  <c:v>Week 12</c:v>
                </c:pt>
                <c:pt idx="12">
                  <c:v>Week 13</c:v>
                </c:pt>
              </c:strCache>
            </c:strRef>
          </c:cat>
          <c:val>
            <c:numRef>
              <c:f>'90-Day Forecast'!$G$24:$G$36</c:f>
              <c:numCache>
                <c:formatCode>_-\$* #,##0_-;[RED]_-\$* \(#,##0\)_-;_-\$* \-_-;_-@_-</c:formatCode>
                <c:ptCount val="13"/>
                <c:pt idx="0">
                  <c:v>51346.1538461538</c:v>
                </c:pt>
                <c:pt idx="1">
                  <c:v>52692.3076923077</c:v>
                </c:pt>
                <c:pt idx="2">
                  <c:v>55000</c:v>
                </c:pt>
                <c:pt idx="3">
                  <c:v>57307.6923076923</c:v>
                </c:pt>
                <c:pt idx="4">
                  <c:v>59615.3846153846</c:v>
                </c:pt>
                <c:pt idx="5">
                  <c:v>61923.0769230769</c:v>
                </c:pt>
                <c:pt idx="6">
                  <c:v>64230.7692307692</c:v>
                </c:pt>
                <c:pt idx="7">
                  <c:v>66538.4615384615</c:v>
                </c:pt>
                <c:pt idx="8">
                  <c:v>68846.1538461538</c:v>
                </c:pt>
                <c:pt idx="9">
                  <c:v>71153.8461538461</c:v>
                </c:pt>
                <c:pt idx="10">
                  <c:v>73461.5384615385</c:v>
                </c:pt>
                <c:pt idx="11">
                  <c:v>75769.2307692308</c:v>
                </c:pt>
                <c:pt idx="12">
                  <c:v>78076.9230769231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35835225"/>
        <c:axId val="92404651"/>
      </c:lineChart>
      <c:catAx>
        <c:axId val="35835225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Week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92404651"/>
        <c:crosses val="autoZero"/>
        <c:auto val="1"/>
        <c:lblAlgn val="ctr"/>
        <c:lblOffset val="100"/>
        <c:noMultiLvlLbl val="0"/>
      </c:catAx>
      <c:valAx>
        <c:axId val="9240465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Cash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_-\$* #,##0_-;[RED]_-\$* \(#,##0\)_-;_-\$* \-_-;_-@_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35835225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20</xdr:col>
      <xdr:colOff>581760</xdr:colOff>
      <xdr:row>18</xdr:row>
      <xdr:rowOff>115560</xdr:rowOff>
    </xdr:to>
    <xdr:graphicFrame>
      <xdr:nvGraphicFramePr>
        <xdr:cNvPr id="1" name="Chart 1"/>
        <xdr:cNvGraphicFramePr/>
      </xdr:nvGraphicFramePr>
      <xdr:xfrm>
        <a:off x="8599320" y="990720"/>
        <a:ext cx="791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90"/>
    <col collapsed="false" customWidth="true" hidden="false" outlineLevel="0" max="3" min="3" style="0" width="2"/>
  </cols>
  <sheetData>
    <row r="2" customFormat="false" ht="27.75" hidden="false" customHeight="true" outlineLevel="0" collapsed="false">
      <c r="B2" s="1" t="s">
        <v>0</v>
      </c>
    </row>
    <row r="3" customFormat="false" ht="27.75" hidden="false" customHeight="true" outlineLevel="0" collapsed="false">
      <c r="B3" s="1"/>
    </row>
    <row r="4" customFormat="false" ht="27.75" hidden="false" customHeight="true" outlineLevel="0" collapsed="false">
      <c r="B4" s="1"/>
    </row>
    <row r="6" customFormat="false" ht="25.5" hidden="false" customHeight="true" outlineLevel="0" collapsed="false">
      <c r="B6" s="2" t="s">
        <v>1</v>
      </c>
    </row>
    <row r="7" customFormat="false" ht="18" hidden="false" customHeight="true" outlineLevel="0" collapsed="false">
      <c r="B7" s="3" t="s">
        <v>2</v>
      </c>
    </row>
    <row r="9" customFormat="false" ht="21.75" hidden="false" customHeight="true" outlineLevel="0" collapsed="false">
      <c r="B9" s="4" t="s">
        <v>3</v>
      </c>
    </row>
    <row r="10" customFormat="false" ht="21.75" hidden="false" customHeight="true" outlineLevel="0" collapsed="false">
      <c r="B10" s="5" t="s">
        <v>4</v>
      </c>
    </row>
    <row r="11" customFormat="false" ht="21.75" hidden="false" customHeight="true" outlineLevel="0" collapsed="false">
      <c r="B11" s="5" t="s">
        <v>5</v>
      </c>
    </row>
    <row r="12" customFormat="false" ht="21.75" hidden="false" customHeight="true" outlineLevel="0" collapsed="false">
      <c r="B12" s="5" t="s">
        <v>6</v>
      </c>
    </row>
    <row r="13" customFormat="false" ht="21.75" hidden="false" customHeight="true" outlineLevel="0" collapsed="false">
      <c r="B13" s="5" t="s">
        <v>7</v>
      </c>
    </row>
    <row r="15" customFormat="false" ht="21.75" hidden="false" customHeight="true" outlineLevel="0" collapsed="false">
      <c r="B15" s="4" t="s">
        <v>8</v>
      </c>
    </row>
    <row r="16" customFormat="false" ht="21.75" hidden="false" customHeight="true" outlineLevel="0" collapsed="false">
      <c r="B16" s="6" t="s">
        <v>9</v>
      </c>
    </row>
    <row r="17" customFormat="false" ht="21.75" hidden="false" customHeight="true" outlineLevel="0" collapsed="false">
      <c r="B17" s="7" t="s">
        <v>10</v>
      </c>
    </row>
    <row r="18" customFormat="false" ht="21.75" hidden="false" customHeight="true" outlineLevel="0" collapsed="false">
      <c r="B18" s="8" t="s">
        <v>11</v>
      </c>
    </row>
    <row r="19" customFormat="false" ht="21.75" hidden="false" customHeight="true" outlineLevel="0" collapsed="false">
      <c r="B19" s="9" t="s">
        <v>12</v>
      </c>
    </row>
    <row r="20" customFormat="false" ht="21.75" hidden="false" customHeight="true" outlineLevel="0" collapsed="false">
      <c r="B20" s="10" t="s">
        <v>13</v>
      </c>
    </row>
    <row r="22" customFormat="false" ht="21.75" hidden="false" customHeight="true" outlineLevel="0" collapsed="false">
      <c r="B22" s="4" t="s">
        <v>14</v>
      </c>
    </row>
    <row r="23" customFormat="false" ht="18" hidden="false" customHeight="true" outlineLevel="0" collapsed="false">
      <c r="B23" s="11" t="s">
        <v>15</v>
      </c>
    </row>
    <row r="24" customFormat="false" ht="18" hidden="false" customHeight="true" outlineLevel="0" collapsed="false">
      <c r="B24" s="11" t="s">
        <v>16</v>
      </c>
    </row>
    <row r="25" customFormat="false" ht="18" hidden="false" customHeight="true" outlineLevel="0" collapsed="false">
      <c r="B25" s="11"/>
    </row>
    <row r="26" customFormat="false" ht="18" hidden="false" customHeight="true" outlineLevel="0" collapsed="false">
      <c r="B26" s="11" t="s">
        <v>17</v>
      </c>
    </row>
    <row r="28" customFormat="false" ht="42" hidden="false" customHeight="true" outlineLevel="0" collapsed="false">
      <c r="B28" s="12" t="s">
        <v>18</v>
      </c>
    </row>
  </sheetData>
  <mergeCells count="1">
    <mergeCell ref="B2:B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4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2"/>
    <col collapsed="false" customWidth="true" hidden="false" outlineLevel="0" max="5" min="3" style="0" width="18"/>
    <col collapsed="false" customWidth="true" hidden="false" outlineLevel="0" max="6" min="6" style="0" width="36"/>
    <col collapsed="false" customWidth="true" hidden="false" outlineLevel="0" max="7" min="7" style="0" width="2"/>
  </cols>
  <sheetData>
    <row r="2" customFormat="false" ht="24" hidden="false" customHeight="true" outlineLevel="0" collapsed="false">
      <c r="B2" s="13" t="s">
        <v>19</v>
      </c>
      <c r="C2" s="13"/>
      <c r="D2" s="13"/>
      <c r="E2" s="13"/>
      <c r="F2" s="13"/>
    </row>
    <row r="3" customFormat="false" ht="24" hidden="false" customHeight="true" outlineLevel="0" collapsed="false">
      <c r="B3" s="13"/>
      <c r="C3" s="13"/>
      <c r="D3" s="13"/>
      <c r="E3" s="13"/>
      <c r="F3" s="13"/>
    </row>
    <row r="5" customFormat="false" ht="19.5" hidden="false" customHeight="true" outlineLevel="0" collapsed="false">
      <c r="B5" s="14" t="s">
        <v>20</v>
      </c>
      <c r="C5" s="14"/>
      <c r="D5" s="14"/>
      <c r="E5" s="14"/>
      <c r="F5" s="14"/>
    </row>
    <row r="7" customFormat="false" ht="19.5" hidden="false" customHeight="true" outlineLevel="0" collapsed="false">
      <c r="B7" s="5" t="s">
        <v>21</v>
      </c>
      <c r="C7" s="15" t="n">
        <v>50000</v>
      </c>
    </row>
    <row r="8" customFormat="false" ht="19.5" hidden="false" customHeight="true" outlineLevel="0" collapsed="false">
      <c r="B8" s="5" t="s">
        <v>22</v>
      </c>
      <c r="C8" s="15" t="n">
        <v>35000</v>
      </c>
    </row>
    <row r="9" customFormat="false" ht="19.5" hidden="false" customHeight="true" outlineLevel="0" collapsed="false">
      <c r="B9" s="5" t="s">
        <v>23</v>
      </c>
      <c r="C9" s="15" t="n">
        <v>22000</v>
      </c>
    </row>
    <row r="10" customFormat="false" ht="19.5" hidden="false" customHeight="true" outlineLevel="0" collapsed="false">
      <c r="B10" s="5" t="s">
        <v>24</v>
      </c>
      <c r="C10" s="15" t="n">
        <v>0</v>
      </c>
    </row>
    <row r="11" customFormat="false" ht="19.5" hidden="false" customHeight="true" outlineLevel="0" collapsed="false">
      <c r="B11" s="5" t="s">
        <v>25</v>
      </c>
      <c r="C11" s="15" t="n">
        <v>5000</v>
      </c>
    </row>
    <row r="12" customFormat="false" ht="19.5" hidden="false" customHeight="true" outlineLevel="0" collapsed="false">
      <c r="B12" s="5" t="s">
        <v>26</v>
      </c>
      <c r="C12" s="15" t="n">
        <v>18000</v>
      </c>
    </row>
    <row r="14" customFormat="false" ht="19.5" hidden="false" customHeight="true" outlineLevel="0" collapsed="false">
      <c r="B14" s="14" t="s">
        <v>27</v>
      </c>
      <c r="C14" s="14"/>
      <c r="D14" s="14"/>
      <c r="E14" s="14"/>
      <c r="F14" s="14"/>
    </row>
    <row r="16" customFormat="false" ht="19.5" hidden="false" customHeight="true" outlineLevel="0" collapsed="false">
      <c r="B16" s="5" t="s">
        <v>28</v>
      </c>
      <c r="C16" s="15" t="n">
        <v>80000</v>
      </c>
    </row>
    <row r="17" customFormat="false" ht="19.5" hidden="false" customHeight="true" outlineLevel="0" collapsed="false">
      <c r="B17" s="5" t="s">
        <v>29</v>
      </c>
      <c r="C17" s="15" t="n">
        <v>32000</v>
      </c>
    </row>
    <row r="18" customFormat="false" ht="19.5" hidden="false" customHeight="true" outlineLevel="0" collapsed="false">
      <c r="B18" s="5" t="s">
        <v>30</v>
      </c>
      <c r="C18" s="15" t="n">
        <v>38000</v>
      </c>
    </row>
    <row r="20" customFormat="false" ht="19.5" hidden="false" customHeight="true" outlineLevel="0" collapsed="false">
      <c r="B20" s="14" t="s">
        <v>31</v>
      </c>
      <c r="C20" s="14"/>
      <c r="D20" s="14"/>
      <c r="E20" s="14"/>
      <c r="F20" s="14"/>
    </row>
    <row r="22" customFormat="false" ht="21.75" hidden="false" customHeight="true" outlineLevel="0" collapsed="false">
      <c r="B22" s="16" t="s">
        <v>32</v>
      </c>
      <c r="C22" s="16" t="s">
        <v>33</v>
      </c>
      <c r="D22" s="16" t="s">
        <v>34</v>
      </c>
      <c r="E22" s="16" t="s">
        <v>35</v>
      </c>
      <c r="F22" s="16" t="s">
        <v>36</v>
      </c>
    </row>
    <row r="23" customFormat="false" ht="21.75" hidden="false" customHeight="true" outlineLevel="0" collapsed="false">
      <c r="B23" s="17" t="s">
        <v>37</v>
      </c>
      <c r="C23" s="18" t="n">
        <f aca="false">IFERROR(C7/C18,0)</f>
        <v>1.31578947368421</v>
      </c>
      <c r="D23" s="19" t="s">
        <v>38</v>
      </c>
      <c r="E23" s="20" t="n">
        <f aca="false">IF(C23&gt;=6,100,IF(C23&gt;=3,80,IF(C23&gt;=1.5,55,25)))</f>
        <v>25</v>
      </c>
      <c r="F23" s="20" t="str">
        <f aca="false">IF(C23&gt;=3,"HEALTHY",IF(C23&gt;=1.5,"WATCH","CRITICAL"))</f>
        <v>CRITICAL</v>
      </c>
    </row>
    <row r="24" customFormat="false" ht="21.75" hidden="false" customHeight="true" outlineLevel="0" collapsed="false">
      <c r="B24" s="17" t="s">
        <v>39</v>
      </c>
      <c r="C24" s="21" t="n">
        <f aca="false">IFERROR(C8/(C16*12)*365,0)</f>
        <v>13.3072916666667</v>
      </c>
      <c r="D24" s="19" t="s">
        <v>40</v>
      </c>
      <c r="E24" s="20" t="n">
        <f aca="false">IF(C24&lt;=30,100,IF(C24&lt;=45,80,IF(C24&lt;=60,55,25)))</f>
        <v>100</v>
      </c>
      <c r="F24" s="20" t="str">
        <f aca="false">IF(C24&lt;=45,"HEALTHY",IF(C24&lt;=60,"WATCH","SLOW"))</f>
        <v>HEALTHY</v>
      </c>
    </row>
    <row r="25" customFormat="false" ht="21.75" hidden="false" customHeight="true" outlineLevel="0" collapsed="false">
      <c r="B25" s="17" t="s">
        <v>41</v>
      </c>
      <c r="C25" s="21" t="n">
        <f aca="false">IFERROR(C9/(C17*12)*365,0)</f>
        <v>20.9114583333333</v>
      </c>
      <c r="D25" s="19" t="s">
        <v>42</v>
      </c>
      <c r="E25" s="20" t="n">
        <f aca="false">IF(AND(C25&gt;=30,C25&lt;=45),100,IF(AND(C25&gt;=20,C25&lt;=60),70,40))</f>
        <v>70</v>
      </c>
      <c r="F25" s="20" t="str">
        <f aca="false">IF(AND(C25&gt;=30,C25&lt;=45),"HEALTHY",IF(AND(C25&gt;=20,C25&lt;=60),"WATCH","REVIEW"))</f>
        <v>WATCH</v>
      </c>
    </row>
    <row r="26" customFormat="false" ht="21.75" hidden="false" customHeight="true" outlineLevel="0" collapsed="false">
      <c r="B26" s="17" t="s">
        <v>43</v>
      </c>
      <c r="C26" s="22" t="n">
        <f aca="false">IFERROR((C7+C8+C10+C11)/(C9+C12),0)</f>
        <v>2.25</v>
      </c>
      <c r="D26" s="19" t="s">
        <v>44</v>
      </c>
      <c r="E26" s="20" t="n">
        <f aca="false">IF(C26&gt;=2,100,IF(C26&gt;=1.5,80,IF(C26&gt;=1,55,25)))</f>
        <v>100</v>
      </c>
      <c r="F26" s="20" t="str">
        <f aca="false">IF(C26&gt;=1.5,"HEALTHY",IF(C26&gt;=1,"WATCH","STRESSED"))</f>
        <v>HEALTHY</v>
      </c>
    </row>
    <row r="27" customFormat="false" ht="21.75" hidden="false" customHeight="true" outlineLevel="0" collapsed="false">
      <c r="B27" s="17" t="s">
        <v>45</v>
      </c>
      <c r="C27" s="22" t="n">
        <f aca="false">IFERROR((C7+C8+C11)/(C9+C12),0)</f>
        <v>2.25</v>
      </c>
      <c r="D27" s="19" t="s">
        <v>46</v>
      </c>
      <c r="E27" s="20" t="n">
        <f aca="false">IF(C27&gt;=1.2,100,IF(C27&gt;=1,80,IF(C27&gt;=0.7,55,25)))</f>
        <v>100</v>
      </c>
      <c r="F27" s="20" t="str">
        <f aca="false">IF(C27&gt;=1,"HEALTHY",IF(C27&gt;=0.7,"WATCH","WEAK"))</f>
        <v>HEALTHY</v>
      </c>
    </row>
    <row r="28" customFormat="false" ht="21.75" hidden="false" customHeight="true" outlineLevel="0" collapsed="false">
      <c r="B28" s="17" t="s">
        <v>47</v>
      </c>
      <c r="C28" s="23" t="n">
        <f aca="false">IFERROR((C16-C17)/C16,0)</f>
        <v>0.6</v>
      </c>
      <c r="D28" s="19" t="s">
        <v>48</v>
      </c>
      <c r="E28" s="20" t="n">
        <f aca="false">IF(C28&gt;=0.5,100,IF(C28&gt;=0.3,80,IF(C28&gt;=0.15,55,25)))</f>
        <v>100</v>
      </c>
      <c r="F28" s="20" t="str">
        <f aca="false">IF(C28&gt;=0.3,"HEALTHY",IF(C28&gt;=0.15,"WATCH","WEAK"))</f>
        <v>HEALTHY</v>
      </c>
    </row>
    <row r="29" customFormat="false" ht="21.75" hidden="false" customHeight="true" outlineLevel="0" collapsed="false">
      <c r="B29" s="17" t="s">
        <v>49</v>
      </c>
      <c r="C29" s="21" t="n">
        <f aca="false">C24+IFERROR(C10/(C17*12)*365,0)-C25</f>
        <v>-7.60416666666666</v>
      </c>
      <c r="D29" s="19" t="s">
        <v>50</v>
      </c>
      <c r="E29" s="20" t="n">
        <f aca="false">IF(C29&lt;=0,100,IF(C29&lt;=30,85,IF(C29&lt;=60,55,25)))</f>
        <v>100</v>
      </c>
      <c r="F29" s="20" t="str">
        <f aca="false">IF(C29&lt;=30,"HEALTHY",IF(C29&lt;=60,"WATCH","LONG"))</f>
        <v>HEALTHY</v>
      </c>
    </row>
    <row r="31" customFormat="false" ht="19.5" hidden="false" customHeight="true" outlineLevel="0" collapsed="false">
      <c r="B31" s="14" t="s">
        <v>51</v>
      </c>
      <c r="C31" s="14"/>
      <c r="D31" s="14"/>
      <c r="E31" s="14"/>
      <c r="F31" s="14"/>
    </row>
    <row r="33" customFormat="false" ht="43.5" hidden="false" customHeight="true" outlineLevel="0" collapsed="false">
      <c r="B33" s="24" t="s">
        <v>52</v>
      </c>
      <c r="C33" s="25" t="n">
        <f aca="false">ROUND((E23*0.25+E24*0.15+E25*0.05+E26*0.15+E27*0.1+E28*0.2+E29*0.1),0)</f>
        <v>80</v>
      </c>
      <c r="D33" s="25"/>
      <c r="E33" s="25"/>
      <c r="F33" s="26" t="str">
        <f aca="false">IF(C33&gt;=80,"HEALTHY",IF(C33&gt;=60,"WATCH","ACTION NEEDED"))</f>
        <v>HEALTHY</v>
      </c>
    </row>
    <row r="36" customFormat="false" ht="19.5" hidden="false" customHeight="true" outlineLevel="0" collapsed="false">
      <c r="B36" s="14" t="s">
        <v>53</v>
      </c>
      <c r="C36" s="14"/>
      <c r="D36" s="14"/>
      <c r="E36" s="14"/>
      <c r="F36" s="14"/>
    </row>
    <row r="38" customFormat="false" ht="19.5" hidden="false" customHeight="true" outlineLevel="0" collapsed="false">
      <c r="B38" s="27" t="str">
        <f aca="false">IF(C23&lt;3,"• Build cash reserves toward 3+ months of operating expenses.","")</f>
        <v>• Build cash reserves toward 3+ months of operating expenses.</v>
      </c>
      <c r="C38" s="27"/>
      <c r="D38" s="27"/>
      <c r="E38" s="27"/>
      <c r="F38" s="27"/>
    </row>
    <row r="39" customFormat="false" ht="19.5" hidden="false" customHeight="true" outlineLevel="0" collapsed="false">
      <c r="B39" s="27" t="str">
        <f aca="false">IF(C24&gt;45,"• Tighten receivables — invoice on completion, send reminders day 7 &amp; day 14, consider 1-2% early-pay discount.","")</f>
        <v/>
      </c>
      <c r="C39" s="27"/>
      <c r="D39" s="27"/>
      <c r="E39" s="27"/>
      <c r="F39" s="27"/>
    </row>
    <row r="40" customFormat="false" ht="19.5" hidden="false" customHeight="true" outlineLevel="0" collapsed="false">
      <c r="B40" s="27" t="str">
        <f aca="false">IF(C26&lt;1.5,"• Avoid taking on more short-term debt and clear small payables.","")</f>
        <v/>
      </c>
      <c r="C40" s="27"/>
      <c r="D40" s="27"/>
      <c r="E40" s="27"/>
      <c r="F40" s="27"/>
    </row>
    <row r="41" customFormat="false" ht="19.5" hidden="false" customHeight="true" outlineLevel="0" collapsed="false">
      <c r="B41" s="27" t="str">
        <f aca="false">IF(C28&lt;0.3,"• Review pricing on top sellers — even a 3-5% lift on revenue flows straight to profit.","")</f>
        <v/>
      </c>
      <c r="C41" s="27"/>
      <c r="D41" s="27"/>
      <c r="E41" s="27"/>
      <c r="F41" s="27"/>
    </row>
    <row r="42" customFormat="false" ht="19.5" hidden="false" customHeight="true" outlineLevel="0" collapsed="false">
      <c r="B42" s="27" t="str">
        <f aca="false">IF(C29&gt;30,"• Cash conversion cycle is long — tighten receivables, extend payables, reduce stock holdings.","")</f>
        <v/>
      </c>
      <c r="C42" s="27"/>
      <c r="D42" s="27"/>
      <c r="E42" s="27"/>
      <c r="F42" s="27"/>
    </row>
    <row r="43" customFormat="false" ht="19.5" hidden="false" customHeight="true" outlineLevel="0" collapsed="false">
      <c r="B43" s="27" t="str">
        <f aca="false">IF(AND(C23&gt;=3,C24&lt;=45,C26&gt;=1.5,C28&gt;=0.3,C29&lt;=30),"• All metrics in healthy range — focus on growth, tax planning, and strategic reserves.","")</f>
        <v/>
      </c>
      <c r="C43" s="27"/>
      <c r="D43" s="27"/>
      <c r="E43" s="27"/>
      <c r="F43" s="27"/>
    </row>
    <row r="45" customFormat="false" ht="27.75" hidden="false" customHeight="true" outlineLevel="0" collapsed="false">
      <c r="B45" s="28" t="s">
        <v>54</v>
      </c>
      <c r="C45" s="28"/>
      <c r="D45" s="28"/>
      <c r="E45" s="28"/>
      <c r="F45" s="28"/>
    </row>
    <row r="47" customFormat="false" ht="24" hidden="false" customHeight="true" outlineLevel="0" collapsed="false">
      <c r="B47" s="29" t="s">
        <v>55</v>
      </c>
      <c r="C47" s="29"/>
      <c r="D47" s="29"/>
      <c r="E47" s="29"/>
      <c r="F47" s="29"/>
    </row>
  </sheetData>
  <mergeCells count="15">
    <mergeCell ref="B2:F3"/>
    <mergeCell ref="B5:F5"/>
    <mergeCell ref="B14:F14"/>
    <mergeCell ref="B20:F20"/>
    <mergeCell ref="B31:F31"/>
    <mergeCell ref="C33:E33"/>
    <mergeCell ref="B36:F36"/>
    <mergeCell ref="B38:F38"/>
    <mergeCell ref="B39:F39"/>
    <mergeCell ref="B40:F40"/>
    <mergeCell ref="B41:F41"/>
    <mergeCell ref="B42:F42"/>
    <mergeCell ref="B43:F43"/>
    <mergeCell ref="B45:F45"/>
    <mergeCell ref="B47:F47"/>
  </mergeCells>
  <conditionalFormatting sqref="F23:F29">
    <cfRule type="expression" priority="2" aboveAverage="0" equalAverage="0" bottom="0" percent="0" rank="0" text="" dxfId="0">
      <formula>OR($F23="HEALTHY",$F23="EXCELLENT")</formula>
    </cfRule>
    <cfRule type="expression" priority="3" aboveAverage="0" equalAverage="0" bottom="0" percent="0" rank="0" text="" dxfId="1">
      <formula>OR($F23="WATCH",$F23="REVIEW")</formula>
    </cfRule>
    <cfRule type="expression" priority="4" aboveAverage="0" equalAverage="0" bottom="0" percent="0" rank="0" text="" dxfId="2">
      <formula>OR($F23="CRITICAL",$F23="SLOW",$F23="STRESSED",$F23="WEAK",$F23="LONG")</formula>
    </cfRule>
  </conditionalFormatting>
  <conditionalFormatting sqref="F33">
    <cfRule type="expression" priority="5" aboveAverage="0" equalAverage="0" bottom="0" percent="0" rank="0" text="" dxfId="3">
      <formula>$F33="HEALTHY"</formula>
    </cfRule>
    <cfRule type="expression" priority="6" aboveAverage="0" equalAverage="0" bottom="0" percent="0" rank="0" text="" dxfId="4">
      <formula>$F33="WATCH"</formula>
    </cfRule>
    <cfRule type="expression" priority="7" aboveAverage="0" equalAverage="0" bottom="0" percent="0" rank="0" text="" dxfId="5">
      <formula>$F33="ACTION NEEDED"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4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8"/>
    <col collapsed="false" customWidth="true" hidden="false" outlineLevel="0" max="7" min="3" style="0" width="16"/>
    <col collapsed="false" customWidth="true" hidden="false" outlineLevel="0" max="8" min="8" style="0" width="2"/>
  </cols>
  <sheetData>
    <row r="2" customFormat="false" ht="24" hidden="false" customHeight="true" outlineLevel="0" collapsed="false">
      <c r="B2" s="13" t="s">
        <v>56</v>
      </c>
      <c r="C2" s="13"/>
      <c r="D2" s="13"/>
      <c r="E2" s="13"/>
      <c r="F2" s="13"/>
      <c r="G2" s="13"/>
    </row>
    <row r="3" customFormat="false" ht="24" hidden="false" customHeight="true" outlineLevel="0" collapsed="false">
      <c r="B3" s="13"/>
      <c r="C3" s="13"/>
      <c r="D3" s="13"/>
      <c r="E3" s="13"/>
      <c r="F3" s="13"/>
      <c r="G3" s="13"/>
    </row>
    <row r="5" customFormat="false" ht="19.5" hidden="false" customHeight="true" outlineLevel="0" collapsed="false">
      <c r="B5" s="14" t="s">
        <v>57</v>
      </c>
      <c r="C5" s="14"/>
      <c r="D5" s="14"/>
      <c r="E5" s="14"/>
      <c r="F5" s="14"/>
      <c r="G5" s="14"/>
    </row>
    <row r="7" customFormat="false" ht="19.5" hidden="false" customHeight="true" outlineLevel="0" collapsed="false">
      <c r="B7" s="5" t="s">
        <v>58</v>
      </c>
      <c r="C7" s="15" t="n">
        <f aca="false">'Health Check'!C7</f>
        <v>50000</v>
      </c>
      <c r="D7" s="30" t="s">
        <v>59</v>
      </c>
      <c r="E7" s="30"/>
      <c r="F7" s="30"/>
      <c r="G7" s="30"/>
    </row>
    <row r="8" customFormat="false" ht="19.5" hidden="false" customHeight="true" outlineLevel="0" collapsed="false">
      <c r="B8" s="5" t="s">
        <v>60</v>
      </c>
      <c r="C8" s="15" t="n">
        <f aca="false">'Health Check'!C16</f>
        <v>80000</v>
      </c>
      <c r="D8" s="30" t="s">
        <v>59</v>
      </c>
      <c r="E8" s="30"/>
      <c r="F8" s="30"/>
      <c r="G8" s="30"/>
    </row>
    <row r="9" customFormat="false" ht="19.5" hidden="false" customHeight="true" outlineLevel="0" collapsed="false">
      <c r="B9" s="5" t="s">
        <v>61</v>
      </c>
      <c r="C9" s="15" t="n">
        <f aca="false">'Health Check'!C17</f>
        <v>32000</v>
      </c>
      <c r="D9" s="30" t="s">
        <v>59</v>
      </c>
      <c r="E9" s="30"/>
      <c r="F9" s="30"/>
      <c r="G9" s="30"/>
    </row>
    <row r="10" customFormat="false" ht="19.5" hidden="false" customHeight="true" outlineLevel="0" collapsed="false">
      <c r="B10" s="5" t="s">
        <v>62</v>
      </c>
      <c r="C10" s="15" t="n">
        <f aca="false">'Health Check'!C18</f>
        <v>38000</v>
      </c>
      <c r="D10" s="30" t="s">
        <v>59</v>
      </c>
      <c r="E10" s="30"/>
      <c r="F10" s="30"/>
      <c r="G10" s="30"/>
    </row>
    <row r="11" customFormat="false" ht="19.5" hidden="false" customHeight="true" outlineLevel="0" collapsed="false">
      <c r="B11" s="5" t="s">
        <v>63</v>
      </c>
      <c r="C11" s="31" t="n">
        <f aca="false">IFERROR('Health Check'!C8/('Health Check'!C16*12)*365,30)</f>
        <v>13.3072916666667</v>
      </c>
      <c r="D11" s="30" t="s">
        <v>64</v>
      </c>
      <c r="E11" s="30"/>
      <c r="F11" s="30"/>
      <c r="G11" s="30"/>
    </row>
    <row r="12" customFormat="false" ht="19.5" hidden="false" customHeight="true" outlineLevel="0" collapsed="false">
      <c r="B12" s="5" t="s">
        <v>65</v>
      </c>
      <c r="C12" s="15" t="n">
        <v>0</v>
      </c>
      <c r="D12" s="30" t="s">
        <v>66</v>
      </c>
      <c r="E12" s="30"/>
      <c r="F12" s="30"/>
      <c r="G12" s="30"/>
    </row>
    <row r="13" customFormat="false" ht="19.5" hidden="false" customHeight="true" outlineLevel="0" collapsed="false">
      <c r="B13" s="5" t="s">
        <v>67</v>
      </c>
      <c r="C13" s="15" t="n">
        <v>0</v>
      </c>
      <c r="D13" s="30" t="s">
        <v>68</v>
      </c>
      <c r="E13" s="30"/>
      <c r="F13" s="30"/>
      <c r="G13" s="30"/>
    </row>
    <row r="15" customFormat="false" ht="15" hidden="false" customHeight="false" outlineLevel="0" collapsed="false">
      <c r="B15" s="32" t="s">
        <v>69</v>
      </c>
      <c r="C15" s="32"/>
      <c r="D15" s="32"/>
      <c r="E15" s="32"/>
      <c r="F15" s="32"/>
      <c r="G15" s="32"/>
    </row>
    <row r="16" customFormat="false" ht="15" hidden="false" customHeight="false" outlineLevel="0" collapsed="false">
      <c r="B16" s="33" t="s">
        <v>70</v>
      </c>
      <c r="C16" s="34" t="n">
        <f aca="false">C8*12/52</f>
        <v>18461.5384615385</v>
      </c>
    </row>
    <row r="17" customFormat="false" ht="15" hidden="false" customHeight="false" outlineLevel="0" collapsed="false">
      <c r="B17" s="33" t="s">
        <v>71</v>
      </c>
      <c r="C17" s="34" t="n">
        <f aca="false">C9*12/52</f>
        <v>7384.61538461539</v>
      </c>
    </row>
    <row r="18" customFormat="false" ht="15" hidden="false" customHeight="false" outlineLevel="0" collapsed="false">
      <c r="B18" s="33" t="s">
        <v>72</v>
      </c>
      <c r="C18" s="34" t="n">
        <f aca="false">C10*12/52</f>
        <v>8769.23076923077</v>
      </c>
    </row>
    <row r="19" customFormat="false" ht="15" hidden="false" customHeight="false" outlineLevel="0" collapsed="false">
      <c r="B19" s="33" t="s">
        <v>73</v>
      </c>
      <c r="C19" s="35" t="n">
        <f aca="false">ROUND(C11/7,0)</f>
        <v>2</v>
      </c>
    </row>
    <row r="21" customFormat="false" ht="19.5" hidden="false" customHeight="true" outlineLevel="0" collapsed="false">
      <c r="B21" s="14" t="s">
        <v>74</v>
      </c>
      <c r="C21" s="14"/>
      <c r="D21" s="14"/>
      <c r="E21" s="14"/>
      <c r="F21" s="14"/>
      <c r="G21" s="14"/>
    </row>
    <row r="23" customFormat="false" ht="21.75" hidden="false" customHeight="true" outlineLevel="0" collapsed="false">
      <c r="B23" s="16" t="s">
        <v>75</v>
      </c>
      <c r="C23" s="16" t="s">
        <v>76</v>
      </c>
      <c r="D23" s="16" t="s">
        <v>77</v>
      </c>
      <c r="E23" s="16" t="s">
        <v>78</v>
      </c>
      <c r="F23" s="16" t="s">
        <v>79</v>
      </c>
      <c r="G23" s="16" t="s">
        <v>80</v>
      </c>
    </row>
    <row r="24" customFormat="false" ht="19.5" hidden="false" customHeight="true" outlineLevel="0" collapsed="false">
      <c r="B24" s="36" t="s">
        <v>81</v>
      </c>
      <c r="C24" s="37" t="n">
        <f aca="false">C7</f>
        <v>50000</v>
      </c>
      <c r="D24" s="37" t="n">
        <f aca="false">IF(1&lt;=$C$19,IFERROR('Health Check'!$C$8/$C$19,0),$C$16)+IF(1=4,$C$12*0.5,0)+IF(1=8,$C$12*0.5,0)</f>
        <v>17500</v>
      </c>
      <c r="E24" s="37" t="n">
        <f aca="false">$C$17+$C$18+IF(1=3,$C$13*0.5,0)+IF(1=10,$C$13*0.5,0)</f>
        <v>16153.8461538462</v>
      </c>
      <c r="F24" s="37" t="n">
        <f aca="false">D24-E24</f>
        <v>1346.15384615385</v>
      </c>
      <c r="G24" s="38" t="n">
        <f aca="false">C24+F24</f>
        <v>51346.1538461538</v>
      </c>
    </row>
    <row r="25" customFormat="false" ht="19.5" hidden="false" customHeight="true" outlineLevel="0" collapsed="false">
      <c r="B25" s="36" t="s">
        <v>82</v>
      </c>
      <c r="C25" s="37" t="n">
        <f aca="false">G24</f>
        <v>51346.1538461538</v>
      </c>
      <c r="D25" s="37" t="n">
        <f aca="false">IF(2&lt;=$C$19,IFERROR('Health Check'!$C$8/$C$19,0),$C$16)+IF(2=4,$C$12*0.5,0)+IF(2=8,$C$12*0.5,0)</f>
        <v>17500</v>
      </c>
      <c r="E25" s="37" t="n">
        <f aca="false">$C$17+$C$18+IF(2=3,$C$13*0.5,0)+IF(2=10,$C$13*0.5,0)</f>
        <v>16153.8461538462</v>
      </c>
      <c r="F25" s="37" t="n">
        <f aca="false">D25-E25</f>
        <v>1346.15384615385</v>
      </c>
      <c r="G25" s="38" t="n">
        <f aca="false">C25+F25</f>
        <v>52692.3076923077</v>
      </c>
    </row>
    <row r="26" customFormat="false" ht="19.5" hidden="false" customHeight="true" outlineLevel="0" collapsed="false">
      <c r="B26" s="36" t="s">
        <v>83</v>
      </c>
      <c r="C26" s="37" t="n">
        <f aca="false">G25</f>
        <v>52692.3076923077</v>
      </c>
      <c r="D26" s="37" t="n">
        <f aca="false">IF(3&lt;=$C$19,IFERROR('Health Check'!$C$8/$C$19,0),$C$16)+IF(3=4,$C$12*0.5,0)+IF(3=8,$C$12*0.5,0)</f>
        <v>18461.5384615385</v>
      </c>
      <c r="E26" s="37" t="n">
        <f aca="false">$C$17+$C$18+IF(3=3,$C$13*0.5,0)+IF(3=10,$C$13*0.5,0)</f>
        <v>16153.8461538462</v>
      </c>
      <c r="F26" s="37" t="n">
        <f aca="false">D26-E26</f>
        <v>2307.69230769231</v>
      </c>
      <c r="G26" s="38" t="n">
        <f aca="false">C26+F26</f>
        <v>55000</v>
      </c>
    </row>
    <row r="27" customFormat="false" ht="19.5" hidden="false" customHeight="true" outlineLevel="0" collapsed="false">
      <c r="B27" s="36" t="s">
        <v>84</v>
      </c>
      <c r="C27" s="37" t="n">
        <f aca="false">G26</f>
        <v>55000</v>
      </c>
      <c r="D27" s="37" t="n">
        <f aca="false">IF(4&lt;=$C$19,IFERROR('Health Check'!$C$8/$C$19,0),$C$16)+IF(4=4,$C$12*0.5,0)+IF(4=8,$C$12*0.5,0)</f>
        <v>18461.5384615385</v>
      </c>
      <c r="E27" s="37" t="n">
        <f aca="false">$C$17+$C$18+IF(4=3,$C$13*0.5,0)+IF(4=10,$C$13*0.5,0)</f>
        <v>16153.8461538462</v>
      </c>
      <c r="F27" s="37" t="n">
        <f aca="false">D27-E27</f>
        <v>2307.69230769231</v>
      </c>
      <c r="G27" s="38" t="n">
        <f aca="false">C27+F27</f>
        <v>57307.6923076923</v>
      </c>
    </row>
    <row r="28" customFormat="false" ht="19.5" hidden="false" customHeight="true" outlineLevel="0" collapsed="false">
      <c r="B28" s="36" t="s">
        <v>85</v>
      </c>
      <c r="C28" s="37" t="n">
        <f aca="false">G27</f>
        <v>57307.6923076923</v>
      </c>
      <c r="D28" s="37" t="n">
        <f aca="false">IF(5&lt;=$C$19,IFERROR('Health Check'!$C$8/$C$19,0),$C$16)+IF(5=4,$C$12*0.5,0)+IF(5=8,$C$12*0.5,0)</f>
        <v>18461.5384615385</v>
      </c>
      <c r="E28" s="37" t="n">
        <f aca="false">$C$17+$C$18+IF(5=3,$C$13*0.5,0)+IF(5=10,$C$13*0.5,0)</f>
        <v>16153.8461538462</v>
      </c>
      <c r="F28" s="37" t="n">
        <f aca="false">D28-E28</f>
        <v>2307.69230769231</v>
      </c>
      <c r="G28" s="38" t="n">
        <f aca="false">C28+F28</f>
        <v>59615.3846153846</v>
      </c>
    </row>
    <row r="29" customFormat="false" ht="19.5" hidden="false" customHeight="true" outlineLevel="0" collapsed="false">
      <c r="B29" s="36" t="s">
        <v>86</v>
      </c>
      <c r="C29" s="37" t="n">
        <f aca="false">G28</f>
        <v>59615.3846153846</v>
      </c>
      <c r="D29" s="37" t="n">
        <f aca="false">IF(6&lt;=$C$19,IFERROR('Health Check'!$C$8/$C$19,0),$C$16)+IF(6=4,$C$12*0.5,0)+IF(6=8,$C$12*0.5,0)</f>
        <v>18461.5384615385</v>
      </c>
      <c r="E29" s="37" t="n">
        <f aca="false">$C$17+$C$18+IF(6=3,$C$13*0.5,0)+IF(6=10,$C$13*0.5,0)</f>
        <v>16153.8461538462</v>
      </c>
      <c r="F29" s="37" t="n">
        <f aca="false">D29-E29</f>
        <v>2307.69230769231</v>
      </c>
      <c r="G29" s="38" t="n">
        <f aca="false">C29+F29</f>
        <v>61923.0769230769</v>
      </c>
    </row>
    <row r="30" customFormat="false" ht="19.5" hidden="false" customHeight="true" outlineLevel="0" collapsed="false">
      <c r="B30" s="36" t="s">
        <v>87</v>
      </c>
      <c r="C30" s="37" t="n">
        <f aca="false">G29</f>
        <v>61923.0769230769</v>
      </c>
      <c r="D30" s="37" t="n">
        <f aca="false">IF(7&lt;=$C$19,IFERROR('Health Check'!$C$8/$C$19,0),$C$16)+IF(7=4,$C$12*0.5,0)+IF(7=8,$C$12*0.5,0)</f>
        <v>18461.5384615385</v>
      </c>
      <c r="E30" s="37" t="n">
        <f aca="false">$C$17+$C$18+IF(7=3,$C$13*0.5,0)+IF(7=10,$C$13*0.5,0)</f>
        <v>16153.8461538462</v>
      </c>
      <c r="F30" s="37" t="n">
        <f aca="false">D30-E30</f>
        <v>2307.69230769231</v>
      </c>
      <c r="G30" s="38" t="n">
        <f aca="false">C30+F30</f>
        <v>64230.7692307692</v>
      </c>
    </row>
    <row r="31" customFormat="false" ht="19.5" hidden="false" customHeight="true" outlineLevel="0" collapsed="false">
      <c r="B31" s="36" t="s">
        <v>88</v>
      </c>
      <c r="C31" s="37" t="n">
        <f aca="false">G30</f>
        <v>64230.7692307692</v>
      </c>
      <c r="D31" s="37" t="n">
        <f aca="false">IF(8&lt;=$C$19,IFERROR('Health Check'!$C$8/$C$19,0),$C$16)+IF(8=4,$C$12*0.5,0)+IF(8=8,$C$12*0.5,0)</f>
        <v>18461.5384615385</v>
      </c>
      <c r="E31" s="37" t="n">
        <f aca="false">$C$17+$C$18+IF(8=3,$C$13*0.5,0)+IF(8=10,$C$13*0.5,0)</f>
        <v>16153.8461538462</v>
      </c>
      <c r="F31" s="37" t="n">
        <f aca="false">D31-E31</f>
        <v>2307.69230769231</v>
      </c>
      <c r="G31" s="38" t="n">
        <f aca="false">C31+F31</f>
        <v>66538.4615384615</v>
      </c>
    </row>
    <row r="32" customFormat="false" ht="19.5" hidden="false" customHeight="true" outlineLevel="0" collapsed="false">
      <c r="B32" s="36" t="s">
        <v>89</v>
      </c>
      <c r="C32" s="37" t="n">
        <f aca="false">G31</f>
        <v>66538.4615384615</v>
      </c>
      <c r="D32" s="37" t="n">
        <f aca="false">IF(9&lt;=$C$19,IFERROR('Health Check'!$C$8/$C$19,0),$C$16)+IF(9=4,$C$12*0.5,0)+IF(9=8,$C$12*0.5,0)</f>
        <v>18461.5384615385</v>
      </c>
      <c r="E32" s="37" t="n">
        <f aca="false">$C$17+$C$18+IF(9=3,$C$13*0.5,0)+IF(9=10,$C$13*0.5,0)</f>
        <v>16153.8461538462</v>
      </c>
      <c r="F32" s="37" t="n">
        <f aca="false">D32-E32</f>
        <v>2307.69230769231</v>
      </c>
      <c r="G32" s="38" t="n">
        <f aca="false">C32+F32</f>
        <v>68846.1538461538</v>
      </c>
    </row>
    <row r="33" customFormat="false" ht="19.5" hidden="false" customHeight="true" outlineLevel="0" collapsed="false">
      <c r="B33" s="36" t="s">
        <v>90</v>
      </c>
      <c r="C33" s="37" t="n">
        <f aca="false">G32</f>
        <v>68846.1538461538</v>
      </c>
      <c r="D33" s="37" t="n">
        <f aca="false">IF(10&lt;=$C$19,IFERROR('Health Check'!$C$8/$C$19,0),$C$16)+IF(10=4,$C$12*0.5,0)+IF(10=8,$C$12*0.5,0)</f>
        <v>18461.5384615385</v>
      </c>
      <c r="E33" s="37" t="n">
        <f aca="false">$C$17+$C$18+IF(10=3,$C$13*0.5,0)+IF(10=10,$C$13*0.5,0)</f>
        <v>16153.8461538462</v>
      </c>
      <c r="F33" s="37" t="n">
        <f aca="false">D33-E33</f>
        <v>2307.69230769231</v>
      </c>
      <c r="G33" s="38" t="n">
        <f aca="false">C33+F33</f>
        <v>71153.8461538461</v>
      </c>
    </row>
    <row r="34" customFormat="false" ht="19.5" hidden="false" customHeight="true" outlineLevel="0" collapsed="false">
      <c r="B34" s="36" t="s">
        <v>91</v>
      </c>
      <c r="C34" s="37" t="n">
        <f aca="false">G33</f>
        <v>71153.8461538461</v>
      </c>
      <c r="D34" s="37" t="n">
        <f aca="false">IF(11&lt;=$C$19,IFERROR('Health Check'!$C$8/$C$19,0),$C$16)+IF(11=4,$C$12*0.5,0)+IF(11=8,$C$12*0.5,0)</f>
        <v>18461.5384615385</v>
      </c>
      <c r="E34" s="37" t="n">
        <f aca="false">$C$17+$C$18+IF(11=3,$C$13*0.5,0)+IF(11=10,$C$13*0.5,0)</f>
        <v>16153.8461538462</v>
      </c>
      <c r="F34" s="37" t="n">
        <f aca="false">D34-E34</f>
        <v>2307.69230769231</v>
      </c>
      <c r="G34" s="38" t="n">
        <f aca="false">C34+F34</f>
        <v>73461.5384615385</v>
      </c>
    </row>
    <row r="35" customFormat="false" ht="19.5" hidden="false" customHeight="true" outlineLevel="0" collapsed="false">
      <c r="B35" s="36" t="s">
        <v>92</v>
      </c>
      <c r="C35" s="37" t="n">
        <f aca="false">G34</f>
        <v>73461.5384615385</v>
      </c>
      <c r="D35" s="37" t="n">
        <f aca="false">IF(12&lt;=$C$19,IFERROR('Health Check'!$C$8/$C$19,0),$C$16)+IF(12=4,$C$12*0.5,0)+IF(12=8,$C$12*0.5,0)</f>
        <v>18461.5384615385</v>
      </c>
      <c r="E35" s="37" t="n">
        <f aca="false">$C$17+$C$18+IF(12=3,$C$13*0.5,0)+IF(12=10,$C$13*0.5,0)</f>
        <v>16153.8461538462</v>
      </c>
      <c r="F35" s="37" t="n">
        <f aca="false">D35-E35</f>
        <v>2307.69230769231</v>
      </c>
      <c r="G35" s="38" t="n">
        <f aca="false">C35+F35</f>
        <v>75769.2307692308</v>
      </c>
    </row>
    <row r="36" customFormat="false" ht="19.5" hidden="false" customHeight="true" outlineLevel="0" collapsed="false">
      <c r="B36" s="36" t="s">
        <v>93</v>
      </c>
      <c r="C36" s="37" t="n">
        <f aca="false">G35</f>
        <v>75769.2307692308</v>
      </c>
      <c r="D36" s="37" t="n">
        <f aca="false">IF(13&lt;=$C$19,IFERROR('Health Check'!$C$8/$C$19,0),$C$16)+IF(13=4,$C$12*0.5,0)+IF(13=8,$C$12*0.5,0)</f>
        <v>18461.5384615385</v>
      </c>
      <c r="E36" s="37" t="n">
        <f aca="false">$C$17+$C$18+IF(13=3,$C$13*0.5,0)+IF(13=10,$C$13*0.5,0)</f>
        <v>16153.8461538462</v>
      </c>
      <c r="F36" s="37" t="n">
        <f aca="false">D36-E36</f>
        <v>2307.69230769231</v>
      </c>
      <c r="G36" s="38" t="n">
        <f aca="false">C36+F36</f>
        <v>78076.9230769231</v>
      </c>
    </row>
    <row r="38" customFormat="false" ht="19.5" hidden="false" customHeight="true" outlineLevel="0" collapsed="false">
      <c r="B38" s="14" t="s">
        <v>94</v>
      </c>
      <c r="C38" s="14"/>
      <c r="D38" s="14"/>
      <c r="E38" s="14"/>
      <c r="F38" s="14"/>
      <c r="G38" s="14"/>
    </row>
    <row r="39" customFormat="false" ht="19.5" hidden="false" customHeight="true" outlineLevel="0" collapsed="false">
      <c r="B39" s="5" t="s">
        <v>95</v>
      </c>
      <c r="C39" s="38" t="n">
        <f aca="false">MIN(G24:G36)</f>
        <v>51346.1538461538</v>
      </c>
    </row>
    <row r="40" customFormat="false" ht="19.5" hidden="false" customHeight="true" outlineLevel="0" collapsed="false">
      <c r="B40" s="5" t="s">
        <v>96</v>
      </c>
      <c r="C40" s="38" t="n">
        <f aca="false">G36</f>
        <v>78076.9230769231</v>
      </c>
    </row>
    <row r="41" customFormat="false" ht="19.5" hidden="false" customHeight="true" outlineLevel="0" collapsed="false">
      <c r="B41" s="5" t="s">
        <v>97</v>
      </c>
      <c r="C41" s="38" t="n">
        <f aca="false">SUM(D24:D36)</f>
        <v>238076.923076923</v>
      </c>
    </row>
    <row r="42" customFormat="false" ht="19.5" hidden="false" customHeight="true" outlineLevel="0" collapsed="false">
      <c r="B42" s="5" t="s">
        <v>98</v>
      </c>
      <c r="C42" s="38" t="n">
        <f aca="false">SUM(E24:E36)</f>
        <v>210000</v>
      </c>
    </row>
    <row r="43" customFormat="false" ht="19.5" hidden="false" customHeight="true" outlineLevel="0" collapsed="false">
      <c r="B43" s="5" t="s">
        <v>99</v>
      </c>
      <c r="C43" s="38" t="n">
        <f aca="false">SUM(F24:F36)</f>
        <v>28076.9230769231</v>
      </c>
    </row>
    <row r="44" customFormat="false" ht="24" hidden="false" customHeight="true" outlineLevel="0" collapsed="false">
      <c r="B44" s="24" t="s">
        <v>100</v>
      </c>
      <c r="C44" s="39" t="str">
        <f aca="false">IF(MIN(G24:G36)&lt;0,"SHORTFALL — action needed",IF(MIN(G24:G36)&lt;$C$18,"TIGHT — limited buffer","ON TRACK"))</f>
        <v>ON TRACK</v>
      </c>
      <c r="D44" s="39"/>
    </row>
    <row r="47" customFormat="false" ht="24" hidden="false" customHeight="true" outlineLevel="0" collapsed="false">
      <c r="B47" s="29" t="s">
        <v>55</v>
      </c>
      <c r="C47" s="29"/>
      <c r="D47" s="29"/>
      <c r="E47" s="29"/>
      <c r="F47" s="29"/>
      <c r="G47" s="29"/>
    </row>
  </sheetData>
  <mergeCells count="14">
    <mergeCell ref="B2:G3"/>
    <mergeCell ref="B5:G5"/>
    <mergeCell ref="D7:G7"/>
    <mergeCell ref="D8:G8"/>
    <mergeCell ref="D9:G9"/>
    <mergeCell ref="D10:G10"/>
    <mergeCell ref="D11:G11"/>
    <mergeCell ref="D12:G12"/>
    <mergeCell ref="D13:G13"/>
    <mergeCell ref="B15:G15"/>
    <mergeCell ref="B21:G21"/>
    <mergeCell ref="B38:G38"/>
    <mergeCell ref="C44:D44"/>
    <mergeCell ref="B47:G47"/>
  </mergeCells>
  <conditionalFormatting sqref="G24:G36">
    <cfRule type="cellIs" priority="2" operator="lessThan" aboveAverage="0" equalAverage="0" bottom="0" percent="0" rank="0" text="" dxfId="2">
      <formula>0</formula>
    </cfRule>
    <cfRule type="cellIs" priority="3" operator="between" aboveAverage="0" equalAverage="0" bottom="0" percent="0" rank="0" text="" dxfId="1">
      <formula>0</formula>
      <formula>$C$18</formula>
    </cfRule>
    <cfRule type="cellIs" priority="4" operator="greaterThanOrEqual" aboveAverage="0" equalAverage="0" bottom="0" percent="0" rank="0" text="" dxfId="0">
      <formula>$C$18</formula>
    </cfRule>
  </conditionalFormatting>
  <conditionalFormatting sqref="C44:D44">
    <cfRule type="expression" priority="5" aboveAverage="0" equalAverage="0" bottom="0" percent="0" rank="0" text="" dxfId="6">
      <formula>$C$44="ON TRACK"</formula>
    </cfRule>
    <cfRule type="expression" priority="6" aboveAverage="0" equalAverage="0" bottom="0" percent="0" rank="0" text="" dxfId="7">
      <formula>$C$44="TIGHT — limited buffer"</formula>
    </cfRule>
    <cfRule type="expression" priority="7" aboveAverage="0" equalAverage="0" bottom="0" percent="0" rank="0" text="" dxfId="8">
      <formula>$C$44="SHORTFALL — action needed"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2026-05-27T13:06:04Z</dcterms:created>
  <dc:creator>openpyxl</dc:creator>
  <dc:description/>
  <dc:language>en-US</dc:language>
  <cp:lastModifiedBy/>
  <dcterms:modified xsi:type="dcterms:W3CDTF">2026-05-27T13:06:26Z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